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Расчет накоплений на ИНС" sheetId="1" r:id="rId1"/>
    <sheet name="Основания включения в реестр" sheetId="2" r:id="rId2"/>
  </sheets>
  <externalReferences>
    <externalReference r:id="rId5"/>
  </externalReferences>
  <definedNames>
    <definedName name="взнос">'Расчет накоплений на ИНС'!$B$10:$D$17</definedName>
    <definedName name="_xlnm.Print_Area" localSheetId="1">'Основания включения в реестр'!$A$1:$D$21</definedName>
    <definedName name="_xlnm.Print_Area" localSheetId="0">'Расчет накоплений на ИНС'!$A$1:$I$58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sz val="9"/>
            <rFont val="Tahoma"/>
            <family val="2"/>
          </rPr>
          <t>Дату можно задать с помощью календаря
Для этого нажмите CTRL+SHIFT+R
После выбора даты закройте календарь</t>
        </r>
      </text>
    </comment>
  </commentList>
</comments>
</file>

<file path=xl/sharedStrings.xml><?xml version="1.0" encoding="utf-8"?>
<sst xmlns="http://schemas.openxmlformats.org/spreadsheetml/2006/main" count="68" uniqueCount="50">
  <si>
    <t>дата основания включения в реестр</t>
  </si>
  <si>
    <t>год</t>
  </si>
  <si>
    <t>дата исключения из реестра</t>
  </si>
  <si>
    <r>
      <t xml:space="preserve">Размер
</t>
    </r>
    <r>
      <rPr>
        <b/>
        <sz val="10"/>
        <rFont val="Arial Cyr"/>
        <family val="0"/>
      </rPr>
      <t>ежемесячных</t>
    </r>
    <r>
      <rPr>
        <sz val="10"/>
        <rFont val="Arial Cyr"/>
        <family val="0"/>
      </rPr>
      <t xml:space="preserve"> начислений 
(1/12 от ежегодного взноса),
руб.</t>
    </r>
  </si>
  <si>
    <r>
      <t xml:space="preserve">Размер </t>
    </r>
    <r>
      <rPr>
        <b/>
        <sz val="10"/>
        <rFont val="Arial Cyr"/>
        <family val="0"/>
      </rPr>
      <t>ежегодного</t>
    </r>
    <r>
      <rPr>
        <sz val="10"/>
        <rFont val="Arial Cyr"/>
        <family val="0"/>
      </rPr>
      <t xml:space="preserve"> 
накопительного взноса,
руб.</t>
    </r>
  </si>
  <si>
    <t>Месяц основания</t>
  </si>
  <si>
    <t>Месяц исключения</t>
  </si>
  <si>
    <t>ПЕРЕМЕННЫЕ ДЛЯ РАСЧЕТА. НЕ ИЗМЕНЯТЬ</t>
  </si>
  <si>
    <t>Размер взносов по годам:</t>
  </si>
  <si>
    <t>Расчет размера накоплений за заданный период:</t>
  </si>
  <si>
    <t>Категории участников НИС</t>
  </si>
  <si>
    <t xml:space="preserve">Основания
для включения
в реестр
</t>
  </si>
  <si>
    <t>Дата возникновения основания</t>
  </si>
  <si>
    <t>(01) лица, окончившие военные образовательные учреждения профессионального образования и заключившие первый контракт о прохождении военной службы после 1 января 2005 года</t>
  </si>
  <si>
    <t>получение первого воинского звания офицера</t>
  </si>
  <si>
    <t>дата присвоения первого воинского звания</t>
  </si>
  <si>
    <t>Категории участников НИС и основания для их включения в реестр участников НИС</t>
  </si>
  <si>
    <t>Период</t>
  </si>
  <si>
    <t>Сумма накоплений за период</t>
  </si>
  <si>
    <t>Формула расчета</t>
  </si>
  <si>
    <t>Дней в месяце основания:</t>
  </si>
  <si>
    <t>Дней в месяце исключения:</t>
  </si>
  <si>
    <t>Ежегодный взнос на год основания</t>
  </si>
  <si>
    <t>Ежегодный взнос на год исключения</t>
  </si>
  <si>
    <t>Ежемесячный взнос на год основания</t>
  </si>
  <si>
    <t>Ежемесячный взнос на год исключения</t>
  </si>
  <si>
    <t xml:space="preserve">Следующий месяц </t>
  </si>
  <si>
    <t>Ежегодный взнос 2 способ</t>
  </si>
  <si>
    <t>Ежемесячный 2 способ</t>
  </si>
  <si>
    <t>Лет между годами</t>
  </si>
  <si>
    <t>Предыдущий</t>
  </si>
  <si>
    <t>ИТОГО</t>
  </si>
  <si>
    <t>(02) офицеры, призванные на военную службу из запаса или поступившие в добровольном порядке на военную службу из запаса</t>
  </si>
  <si>
    <t>заключение первого контракта о прохождении военной службы</t>
  </si>
  <si>
    <t>дата вступления в силу первого контракта</t>
  </si>
  <si>
    <t xml:space="preserve">(03) прапорщики и мичманы, заключившие первый контракт о прохождении военной службы после 1 января 2005 года, </t>
  </si>
  <si>
    <t>(04) сержанты и старшины, солдаты и матросы</t>
  </si>
  <si>
    <t>(05) лица, окончившие военные образовательные учреждения профессионального образования начиная с 1 января 2005 года и заключившие первый контракт о прохождении военной службы до 1 января 2005 года</t>
  </si>
  <si>
    <t xml:space="preserve">(06) прапорщики и мичманы, общая продолжительность военной службы по контракту которых составит 3 года начиная с 1 января 2005 года, если они заключили первый контракт о прохождении военной службы до 1 января 2005 года, </t>
  </si>
  <si>
    <t>(07) лица, окончившие военные образовательные учреждения профессионального образования в период после 1 января 2005 года до 1 января 2008 года и получившие первое воинское звание офицера в процессе обучения</t>
  </si>
  <si>
    <t>(08) военнослужащие, не имеющие воинского звания офицера и получившие первое воинское звание офицера в связи с поступлением на военную службу по контракту на воинскую должность, для которой штатом предусмотрено воинское звание офицера, начиная с 1 января 2008 года</t>
  </si>
  <si>
    <t>(09) военнослужащие, не имеющие воинского звания офицера и получившие первое воинское звание офицера в связи с поступлением на военную службу по контракту на воинскую должность, для которой штатом предусмотрено воинское звание офицера, после 1 января 2005 года до 1 января 2008 года</t>
  </si>
  <si>
    <t>(10)военнослужащие, получившие первое воинское звание офицера в связи с назначением на воинскую должность, для которой штатом предусмотрено воинское звание офицера, начиная с 1 января 2008 года</t>
  </si>
  <si>
    <t>(11) военнослужащие, получившие первое воинское звание офицера в связи с назначением на воинскую должность, для которой штатом предусмотрено воинское звание офицера, после 1 января 2005 года до 1 января 2008 года</t>
  </si>
  <si>
    <t>(12) военнослужащие, получившие первое воинское звание офицера в связи с окончанием курсов по подготовке младших офицеров начиная с 1 января 2008 года</t>
  </si>
  <si>
    <t xml:space="preserve">(13) военнослужащие, получившие первое воинское звание офицера в связи с окончанием курсов по подготовке младших офицеров после 1 января 2005 года до 1 января 2008 года, </t>
  </si>
  <si>
    <t>общая продолжительность военной службы по контракту –  3 года</t>
  </si>
  <si>
    <t>дата достижения 3 лет общей продолжительности военной службы по контракту</t>
  </si>
  <si>
    <t>обращение (рапорт) о включении в реестр участников НИС (в письменной форме)</t>
  </si>
  <si>
    <t>дата регистрации обращения в журнале учета служебных документов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</si>
</sst>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;@"/>
    <numFmt numFmtId="167" formatCode="[$-FC19]dd\ mmmm\ yyyy\ \г\.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4" fontId="0" fillId="0" borderId="11" xfId="0" applyNumberFormat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 wrapText="1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top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14" fontId="0" fillId="0" borderId="11" xfId="0" applyNumberFormat="1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0" fillId="0" borderId="11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  <xf numFmtId="14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left" vertical="top"/>
    </xf>
    <xf numFmtId="0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Microsoft%20Office\Office12\xlstart\samradDatePicker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N100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2.75"/>
  <cols>
    <col min="2" max="2" width="10.125" style="0" bestFit="1" customWidth="1"/>
    <col min="3" max="3" width="20.125" style="0" customWidth="1"/>
    <col min="4" max="4" width="28.125" style="0" customWidth="1"/>
    <col min="5" max="5" width="10.125" style="0" bestFit="1" customWidth="1"/>
    <col min="7" max="7" width="9.00390625" style="0" customWidth="1"/>
    <col min="9" max="9" width="9.625" style="0" customWidth="1"/>
    <col min="14" max="14" width="9.125" style="1" customWidth="1"/>
  </cols>
  <sheetData>
    <row r="1" ht="12.75"/>
    <row r="2" ht="12.75"/>
    <row r="3" spans="2:7" ht="30" customHeight="1">
      <c r="B3" s="49" t="s">
        <v>0</v>
      </c>
      <c r="C3" s="50"/>
      <c r="D3" s="12" t="s">
        <v>2</v>
      </c>
      <c r="E3" s="21"/>
      <c r="F3" s="21"/>
      <c r="G3" s="21"/>
    </row>
    <row r="4" spans="2:7" ht="12.75">
      <c r="B4" s="40">
        <v>39102</v>
      </c>
      <c r="C4" s="41"/>
      <c r="D4" s="35">
        <v>41516</v>
      </c>
      <c r="E4" s="22"/>
      <c r="F4" s="22"/>
      <c r="G4" s="23"/>
    </row>
    <row r="5" spans="2:7" ht="12.75">
      <c r="B5" s="4"/>
      <c r="C5" s="4"/>
      <c r="D5" s="5"/>
      <c r="E5" s="4"/>
      <c r="F5" s="4"/>
      <c r="G5" s="6"/>
    </row>
    <row r="6" ht="12.75">
      <c r="I6" s="25"/>
    </row>
    <row r="7" ht="12.75">
      <c r="B7" s="3" t="s">
        <v>8</v>
      </c>
    </row>
    <row r="8" ht="12.75"/>
    <row r="9" spans="2:7" ht="59.25" customHeight="1">
      <c r="B9" s="7" t="s">
        <v>1</v>
      </c>
      <c r="C9" s="13" t="s">
        <v>4</v>
      </c>
      <c r="D9" s="7" t="s">
        <v>3</v>
      </c>
      <c r="E9" s="18"/>
      <c r="F9" s="18"/>
      <c r="G9" s="18"/>
    </row>
    <row r="10" spans="2:10" ht="12.75">
      <c r="B10" s="2">
        <v>2005</v>
      </c>
      <c r="C10" s="17">
        <v>37000</v>
      </c>
      <c r="D10" s="20">
        <v>3083.33</v>
      </c>
      <c r="E10" s="19"/>
      <c r="F10" s="19"/>
      <c r="G10" s="19"/>
      <c r="J10" s="1"/>
    </row>
    <row r="11" spans="2:7" ht="12.75">
      <c r="B11" s="2">
        <v>2006</v>
      </c>
      <c r="C11" s="17">
        <v>40600</v>
      </c>
      <c r="D11" s="20">
        <v>3383.33</v>
      </c>
      <c r="E11" s="19"/>
      <c r="F11" s="19"/>
      <c r="G11" s="19"/>
    </row>
    <row r="12" spans="2:7" ht="12.75">
      <c r="B12" s="2">
        <v>2007</v>
      </c>
      <c r="C12" s="17">
        <v>82800</v>
      </c>
      <c r="D12" s="20">
        <v>6900</v>
      </c>
      <c r="E12" s="19"/>
      <c r="F12" s="19"/>
      <c r="G12" s="19"/>
    </row>
    <row r="13" spans="2:7" ht="12.75">
      <c r="B13" s="2">
        <v>2008</v>
      </c>
      <c r="C13" s="17">
        <v>89900</v>
      </c>
      <c r="D13" s="20">
        <v>7491.67</v>
      </c>
      <c r="E13" s="19"/>
      <c r="F13" s="19"/>
      <c r="G13" s="19"/>
    </row>
    <row r="14" spans="2:7" ht="12.75">
      <c r="B14" s="2">
        <v>2009</v>
      </c>
      <c r="C14" s="17">
        <v>168000</v>
      </c>
      <c r="D14" s="20">
        <v>14000</v>
      </c>
      <c r="E14" s="19"/>
      <c r="F14" s="19"/>
      <c r="G14" s="19"/>
    </row>
    <row r="15" spans="2:7" ht="12.75">
      <c r="B15" s="2">
        <v>2010</v>
      </c>
      <c r="C15" s="17">
        <v>175600</v>
      </c>
      <c r="D15" s="20">
        <v>14633.33</v>
      </c>
      <c r="E15" s="19"/>
      <c r="F15" s="19"/>
      <c r="G15" s="19"/>
    </row>
    <row r="16" spans="2:7" ht="12.75">
      <c r="B16" s="2">
        <v>2011</v>
      </c>
      <c r="C16" s="17">
        <v>189800</v>
      </c>
      <c r="D16" s="20">
        <v>15816.67</v>
      </c>
      <c r="E16" s="19"/>
      <c r="F16" s="19"/>
      <c r="G16" s="19"/>
    </row>
    <row r="17" spans="2:7" ht="12.75">
      <c r="B17" s="2">
        <v>2012</v>
      </c>
      <c r="C17" s="17">
        <v>205200</v>
      </c>
      <c r="D17" s="20">
        <v>17100</v>
      </c>
      <c r="E17" s="19"/>
      <c r="F17" s="19"/>
      <c r="G17" s="19"/>
    </row>
    <row r="18" spans="2:7" ht="12.75">
      <c r="B18" s="15"/>
      <c r="C18" s="36"/>
      <c r="D18" s="19"/>
      <c r="E18" s="19"/>
      <c r="F18" s="19"/>
      <c r="G18" s="19"/>
    </row>
    <row r="20" ht="12.75">
      <c r="B20" s="3" t="s">
        <v>9</v>
      </c>
    </row>
    <row r="22" spans="2:9" ht="30" customHeight="1">
      <c r="B22" s="53" t="s">
        <v>17</v>
      </c>
      <c r="C22" s="53"/>
      <c r="D22" s="13" t="s">
        <v>18</v>
      </c>
      <c r="E22" s="53" t="s">
        <v>19</v>
      </c>
      <c r="F22" s="53"/>
      <c r="G22" s="53"/>
      <c r="H22" s="53"/>
      <c r="I22" s="53"/>
    </row>
    <row r="23" spans="2:9" ht="48" customHeight="1">
      <c r="B23" s="55" t="str">
        <f>CONCATENATE(" ",E64," ",YEAR(B4)," г.")</f>
        <v> январь 2007 г.</v>
      </c>
      <c r="C23" s="55"/>
      <c r="D23" s="29">
        <f>ROUND(E88,2)*(E91-DAY(B4))/E91</f>
        <v>2448.3870967741937</v>
      </c>
      <c r="E23" s="54" t="str">
        <f>CONCATENATE(ROUND(E88,2)," (сумма ежемесячных начислений в ",YEAR(B4)," г.) * ",E91-DAY(B4)," (количество дней с ",DAY(B4)," по ",E91," ",IF(E65="май","мая) / ",IF(E65="август","августа) / ",CONCATENATE(LEFT(E64,LEN(E64)-1),"я) / "))),E91," (количество дней в ",IF(E65="август","августе)",CONCATENATE(LEFT(E64,LEN(E64)-1),"е)")))</f>
        <v>6900 (сумма ежемесячных начислений в 2007 г.) * 11 (количество дней с 20 по 31 января) / 31 (количество дней в январе)</v>
      </c>
      <c r="F23" s="54"/>
      <c r="G23" s="54"/>
      <c r="H23" s="54"/>
      <c r="I23" s="54"/>
    </row>
    <row r="24" spans="2:14" s="24" customFormat="1" ht="37.5" customHeight="1">
      <c r="B24" s="48" t="str">
        <f>IF(MONTH(B4)=12," 0",IF(MONTH(B4)=11,CONCATENATE(" ",H64," ",YEAR(B4)," г."),CONCATENATE(" ",H64," - декабрь ",YEAR(B4)," г.")))</f>
        <v> февраль - декабрь 2007 г.</v>
      </c>
      <c r="C24" s="48"/>
      <c r="D24" s="28">
        <f>ROUND(E88,2)*(12-MONTH(B4))</f>
        <v>75900</v>
      </c>
      <c r="E24" s="54" t="str">
        <f>IF(MONTH(B4)=12,"0",CONCATENATE(ROUND(E88,2)," (сумма ежемесячных начислений в ",YEAR(B4)," г.) * ",IF(MONTH(B4)=11,CONCATENATE("1 (декабрь ",YEAR(B4)," г.)"),CONCATENATE(12-MONTH(B4)," (",H64," - ","декабрь ",YEAR(B4)," г.)"))))</f>
        <v>6900 (сумма ежемесячных начислений в 2007 г.) * 11 (февраль - декабрь 2007 г.)</v>
      </c>
      <c r="F24" s="54"/>
      <c r="G24" s="54"/>
      <c r="H24" s="54"/>
      <c r="I24" s="54"/>
      <c r="N24" s="26"/>
    </row>
    <row r="25" spans="2:9" ht="28.5" customHeight="1">
      <c r="B25" s="48" t="str">
        <f>IF(MONTH(D4)=1," 0",IF(MONTH(D4)=2,CONCATENATE(" ",N64," ",YEAR(D4)," г."),CONCATENATE(" январь - ",N64," ",YEAR(D4)," г.")))</f>
        <v> январь - июль 2013 г.</v>
      </c>
      <c r="C25" s="48"/>
      <c r="D25" s="30">
        <f>ROUND(K88,2)*(MONTH(D4)-1)</f>
        <v>119700</v>
      </c>
      <c r="E25" s="45" t="str">
        <f>IF(MONTH(D4)=1,"0",CONCATENATE(ROUND(K88,2)," (сумма ежемесячных начислений в ",YEAR(D4)," г.) * ",IF(MONTH(D4)=2,CONCATENATE("1 (январь ",YEAR(D4)," г.)"),CONCATENATE(MONTH(D4)-1," (","январь - ",N64," ",YEAR(D4)," г.)"))))</f>
        <v>17100 (сумма ежемесячных начислений в 2013 г.) * 7 (январь - июль 2013 г.)</v>
      </c>
      <c r="F25" s="46"/>
      <c r="G25" s="46"/>
      <c r="H25" s="46"/>
      <c r="I25" s="47"/>
    </row>
    <row r="26" spans="2:9" ht="42.75" customHeight="1">
      <c r="B26" s="55" t="str">
        <f>CONCATENATE(" ",K64," ",YEAR(D4)," г.")</f>
        <v> август 2013 г.</v>
      </c>
      <c r="C26" s="55"/>
      <c r="D26" s="29">
        <f>ROUND(K88,2)*DAY(D4)/K91</f>
        <v>16548.387096774193</v>
      </c>
      <c r="E26" s="54" t="str">
        <f>CONCATENATE(ROUND(K88,2)," (сумма ежемесячных начислений в ",YEAR(D4)," г.) * ",DAY(D4)," (количество дней с 1 по ",DAY(D4)," ",IF(K64="май","мая) / ",IF(K64="август","августа) / ",CONCATENATE(LEFT(K64,LEN(K64)-1),"я) / "))),K91," (количество дней в ",IF(K64="август","августе)",CONCATENATE(LEFT(K64,LEN(K64)-1),"е)")))</f>
        <v>17100 (сумма ежемесячных начислений в 2013 г.) * 30 (количество дней с 1 по 30 августа) / 31 (количество дней в августе)</v>
      </c>
      <c r="F26" s="54"/>
      <c r="G26" s="54"/>
      <c r="H26" s="54"/>
      <c r="I26" s="54"/>
    </row>
    <row r="27" spans="2:9" ht="12.75">
      <c r="B27" s="51" t="str">
        <f>IF(YEAR(B4)+1&lt;YEAR(D4),CONCATENATE(" ",YEAR(B4)+1," г.")," 0")</f>
        <v> 2008 г.</v>
      </c>
      <c r="C27" s="52"/>
      <c r="D27" s="31">
        <f>IF(YEAR(B4)+1&lt;YEAR(D4),IF(YEAR(B4)+1&gt;=2011,C17,VLOOKUP(YEAR(B4)+1,взнос,2,0)),"0")</f>
        <v>89900</v>
      </c>
      <c r="E27" s="56"/>
      <c r="F27" s="56"/>
      <c r="G27" s="56"/>
      <c r="H27" s="56"/>
      <c r="I27" s="56"/>
    </row>
    <row r="28" spans="2:9" ht="12.75">
      <c r="B28" s="44" t="str">
        <f>IF(YEAR(B4)+2&lt;YEAR(D4),CONCATENATE(" ",YEAR(B4)+2," г.")," 0")</f>
        <v> 2009 г.</v>
      </c>
      <c r="C28" s="44"/>
      <c r="D28" s="32">
        <f>IF(YEAR(B4)+2&lt;YEAR(D4),IF(YEAR(B4)+2&gt;=B17,C17,VLOOKUP(YEAR(B4)+2,взнос,2,0)),"0")</f>
        <v>168000</v>
      </c>
      <c r="E28" s="43"/>
      <c r="F28" s="43"/>
      <c r="G28" s="43"/>
      <c r="H28" s="43"/>
      <c r="I28" s="43"/>
    </row>
    <row r="29" spans="2:9" ht="12.75">
      <c r="B29" s="44" t="str">
        <f>IF(YEAR(B4)+3&lt;YEAR(D4),CONCATENATE(" ",YEAR(B4)+3," г.")," 0")</f>
        <v> 2010 г.</v>
      </c>
      <c r="C29" s="44"/>
      <c r="D29" s="32">
        <f>IF(YEAR(B4)+3&lt;YEAR(D4),IF(YEAR(B4)+3&gt;=B17,C17,VLOOKUP(YEAR(B4)+3,взнос,2,0)),"0")</f>
        <v>175600</v>
      </c>
      <c r="E29" s="43"/>
      <c r="F29" s="43"/>
      <c r="G29" s="43"/>
      <c r="H29" s="43"/>
      <c r="I29" s="43"/>
    </row>
    <row r="30" spans="2:9" ht="12.75">
      <c r="B30" s="44" t="str">
        <f>IF(YEAR(B4)+4&lt;YEAR(D4),CONCATENATE(" ",YEAR(B4)+4," г.")," 0")</f>
        <v> 2011 г.</v>
      </c>
      <c r="C30" s="44"/>
      <c r="D30" s="32">
        <f>IF(YEAR(B4)+4&lt;YEAR(D4),IF(YEAR(B4)+4&gt;=B17,C17,VLOOKUP(YEAR(B4)+4,взнос,2,0)),"0")</f>
        <v>189800</v>
      </c>
      <c r="E30" s="43"/>
      <c r="F30" s="43"/>
      <c r="G30" s="43"/>
      <c r="H30" s="43"/>
      <c r="I30" s="43"/>
    </row>
    <row r="31" spans="2:9" ht="12.75">
      <c r="B31" s="44" t="str">
        <f>IF(YEAR(B4)+5&lt;YEAR(D4),CONCATENATE(" ",YEAR(B4)+5," г.")," 0")</f>
        <v> 2012 г.</v>
      </c>
      <c r="C31" s="44"/>
      <c r="D31" s="32">
        <f>IF(YEAR(B4)+5&lt;YEAR(D4),IF(YEAR(B4)+5&gt;=B17,C17,VLOOKUP(YEAR(B4)+5,взнос,2,0)),"0")</f>
        <v>205200</v>
      </c>
      <c r="E31" s="43"/>
      <c r="F31" s="43"/>
      <c r="G31" s="43"/>
      <c r="H31" s="43"/>
      <c r="I31" s="43"/>
    </row>
    <row r="32" spans="2:9" ht="12.75">
      <c r="B32" s="44" t="str">
        <f>IF(YEAR(B4)+6&lt;YEAR(D4),CONCATENATE(" ",YEAR(B4)+6," г.")," 0")</f>
        <v> 0</v>
      </c>
      <c r="C32" s="44"/>
      <c r="D32" s="32" t="str">
        <f>IF(YEAR(B4)+6&lt;YEAR(D4),IF(YEAR(B4)+6&gt;=B17,C17,VLOOKUP(YEAR(B4)+6,взнос,2,0)),"0")</f>
        <v>0</v>
      </c>
      <c r="E32" s="43"/>
      <c r="F32" s="43"/>
      <c r="G32" s="43"/>
      <c r="H32" s="43"/>
      <c r="I32" s="43"/>
    </row>
    <row r="33" spans="2:9" ht="12.75">
      <c r="B33" s="44" t="str">
        <f>IF(YEAR(B4)+7&lt;YEAR(D4),CONCATENATE(" ",YEAR(B4)+7," г.")," 0")</f>
        <v> 0</v>
      </c>
      <c r="C33" s="44"/>
      <c r="D33" s="32" t="str">
        <f>IF(YEAR(B4)+7&lt;YEAR(D4),IF(YEAR(B4)+7&gt;=B17,C17,VLOOKUP(YEAR(B4)+7,взнос,2,0)),"0")</f>
        <v>0</v>
      </c>
      <c r="E33" s="43"/>
      <c r="F33" s="43"/>
      <c r="G33" s="43"/>
      <c r="H33" s="43"/>
      <c r="I33" s="43"/>
    </row>
    <row r="34" spans="2:9" ht="12.75">
      <c r="B34" s="44" t="str">
        <f>IF(YEAR(B4)+8&lt;YEAR(D4),CONCATENATE(" ",YEAR(B4)+8," г.")," 0")</f>
        <v> 0</v>
      </c>
      <c r="C34" s="44"/>
      <c r="D34" s="32" t="str">
        <f>IF(YEAR(B4)+8&lt;YEAR(D4),IF(YEAR(B4)+8&gt;=B17,C17,VLOOKUP(YEAR(B4)+8,взнос,2,0)),"0")</f>
        <v>0</v>
      </c>
      <c r="E34" s="43"/>
      <c r="F34" s="43"/>
      <c r="G34" s="43"/>
      <c r="H34" s="43"/>
      <c r="I34" s="43"/>
    </row>
    <row r="35" spans="2:9" ht="12.75">
      <c r="B35" s="44" t="str">
        <f>IF(YEAR(B4)+9&lt;YEAR(D4),CONCATENATE(" ",YEAR(B4)+9," г.")," 0")</f>
        <v> 0</v>
      </c>
      <c r="C35" s="44"/>
      <c r="D35" s="32" t="str">
        <f>IF(YEAR(B4)+9&lt;YEAR(D4),IF(YEAR(B4)+9&gt;=B17,C17,VLOOKUP(YEAR(B4)+9,взнос,2,0)),"0")</f>
        <v>0</v>
      </c>
      <c r="E35" s="43"/>
      <c r="F35" s="43"/>
      <c r="G35" s="43"/>
      <c r="H35" s="43"/>
      <c r="I35" s="43"/>
    </row>
    <row r="36" spans="2:9" ht="12.75">
      <c r="B36" s="44" t="str">
        <f>IF(YEAR(B4)+10&lt;YEAR(D4),CONCATENATE(" ",YEAR(B4)+10," г.")," 0")</f>
        <v> 0</v>
      </c>
      <c r="C36" s="44"/>
      <c r="D36" s="32" t="str">
        <f>IF(YEAR(B4)+10&lt;YEAR(D4),IF(YEAR(B4)+10&gt;=B17,C17,VLOOKUP(YEAR(B4)+10,взнос,2,0)),"0")</f>
        <v>0</v>
      </c>
      <c r="E36" s="43"/>
      <c r="F36" s="43"/>
      <c r="G36" s="43"/>
      <c r="H36" s="43"/>
      <c r="I36" s="43"/>
    </row>
    <row r="37" spans="2:9" ht="12.75">
      <c r="B37" s="44" t="str">
        <f>IF(YEAR(B4)+11&lt;YEAR(D4),CONCATENATE(" ",YEAR(B4)+11," г.")," 0")</f>
        <v> 0</v>
      </c>
      <c r="C37" s="44"/>
      <c r="D37" s="32" t="str">
        <f>IF(YEAR(B4)+11&lt;YEAR(D4),IF(YEAR(B4)+11&gt;=B17,C17,VLOOKUP(YEAR(B4)+11,взнос,2,0)),"0")</f>
        <v>0</v>
      </c>
      <c r="E37" s="43"/>
      <c r="F37" s="43"/>
      <c r="G37" s="43"/>
      <c r="H37" s="43"/>
      <c r="I37" s="43"/>
    </row>
    <row r="38" spans="2:9" ht="12.75">
      <c r="B38" s="44" t="str">
        <f>IF(YEAR(B4)+12&lt;YEAR(D4),CONCATENATE(" ",YEAR(B4)+12," г.")," 0")</f>
        <v> 0</v>
      </c>
      <c r="C38" s="44"/>
      <c r="D38" s="32" t="str">
        <f>IF(YEAR(B4)+12&lt;YEAR(D4),IF(YEAR(B4)+12&gt;=B17,C17,VLOOKUP(YEAR(B4)+12,взнос,2,0)),"0")</f>
        <v>0</v>
      </c>
      <c r="E38" s="43"/>
      <c r="F38" s="43"/>
      <c r="G38" s="43"/>
      <c r="H38" s="43"/>
      <c r="I38" s="43"/>
    </row>
    <row r="39" spans="2:9" ht="12.75">
      <c r="B39" s="42" t="str">
        <f>IF(YEAR(B4)+13&lt;YEAR(D4),CONCATENATE(" ",YEAR(B4)+13," г.")," 0")</f>
        <v> 0</v>
      </c>
      <c r="C39" s="42"/>
      <c r="D39" s="33" t="str">
        <f>IF(YEAR(B4)+13&lt;YEAR(D4),IF(YEAR(B4)+13&gt;=B17,C17,VLOOKUP(YEAR(B4)+13,взнос,2,0)),"0")</f>
        <v>0</v>
      </c>
      <c r="E39" s="43"/>
      <c r="F39" s="43"/>
      <c r="G39" s="43"/>
      <c r="H39" s="43"/>
      <c r="I39" s="43"/>
    </row>
    <row r="40" spans="2:9" ht="12.75">
      <c r="B40" s="42" t="str">
        <f>IF(YEAR(B4)+14&lt;YEAR(D4),CONCATENATE(" ",YEAR(B4)+14," г.")," 0")</f>
        <v> 0</v>
      </c>
      <c r="C40" s="42"/>
      <c r="D40" s="33" t="str">
        <f>IF(YEAR(B4)+14&lt;YEAR(D4),IF(YEAR(B4)+14&gt;=B17,C17,VLOOKUP(YEAR(B4)+14,взнос,2,0)),"0")</f>
        <v>0</v>
      </c>
      <c r="E40" s="43"/>
      <c r="F40" s="43"/>
      <c r="G40" s="43"/>
      <c r="H40" s="43"/>
      <c r="I40" s="43"/>
    </row>
    <row r="41" spans="2:9" ht="12.75">
      <c r="B41" s="42" t="str">
        <f>IF(YEAR(B4)+15&lt;YEAR(D4),CONCATENATE(" ",YEAR(B4)+15," г.")," 0")</f>
        <v> 0</v>
      </c>
      <c r="C41" s="42"/>
      <c r="D41" s="33" t="str">
        <f>IF(YEAR(B4)+15&lt;YEAR(D4),IF(YEAR(B4)+15&gt;=B17,C17,VLOOKUP(YEAR(B4)+15,взнос,2,0)),"0")</f>
        <v>0</v>
      </c>
      <c r="E41" s="43"/>
      <c r="F41" s="43"/>
      <c r="G41" s="43"/>
      <c r="H41" s="43"/>
      <c r="I41" s="43"/>
    </row>
    <row r="42" spans="2:9" ht="12.75">
      <c r="B42" s="42" t="str">
        <f>IF(YEAR(B4)+16&lt;YEAR(D4),CONCATENATE(" ",YEAR(B4)+16," г.")," 0")</f>
        <v> 0</v>
      </c>
      <c r="C42" s="42"/>
      <c r="D42" s="33" t="str">
        <f>IF(YEAR(B4)+16&lt;YEAR(D4),IF(YEAR(B4)+16&gt;=B17,C17,VLOOKUP(YEAR(B4)+16,взнос,2,0)),"0")</f>
        <v>0</v>
      </c>
      <c r="E42" s="43"/>
      <c r="F42" s="43"/>
      <c r="G42" s="43"/>
      <c r="H42" s="43"/>
      <c r="I42" s="43"/>
    </row>
    <row r="43" spans="2:9" ht="12.75">
      <c r="B43" s="42" t="str">
        <f>IF(YEAR(B4)+17&lt;YEAR(D4),CONCATENATE(" ",YEAR(B4)+17," г.")," 0")</f>
        <v> 0</v>
      </c>
      <c r="C43" s="42"/>
      <c r="D43" s="33" t="str">
        <f>IF(YEAR(B4)+17&lt;YEAR(D4),IF(YEAR(B4)+17&gt;=B17,C17,VLOOKUP(YEAR(B4)+17,взнос,2,0)),"0")</f>
        <v>0</v>
      </c>
      <c r="E43" s="43"/>
      <c r="F43" s="43"/>
      <c r="G43" s="43"/>
      <c r="H43" s="43"/>
      <c r="I43" s="43"/>
    </row>
    <row r="44" spans="2:9" ht="12.75">
      <c r="B44" s="42" t="str">
        <f>IF(YEAR(B4)+18&lt;YEAR(D4),CONCATENATE(" ",YEAR(B4)+18," г.")," 0")</f>
        <v> 0</v>
      </c>
      <c r="C44" s="42"/>
      <c r="D44" s="32" t="str">
        <f>IF(YEAR(B4)+18&lt;YEAR(D4),IF(YEAR(B4)+18&gt;=B17,C17,VLOOKUP(YEAR(B4)+18,взнос,2,0)),"0")</f>
        <v>0</v>
      </c>
      <c r="E44" s="43"/>
      <c r="F44" s="43"/>
      <c r="G44" s="43"/>
      <c r="H44" s="43"/>
      <c r="I44" s="43"/>
    </row>
    <row r="45" spans="2:9" ht="12.75">
      <c r="B45" s="42" t="str">
        <f>IF(YEAR(B4)+19&lt;YEAR(D4),CONCATENATE(" ",YEAR(B4)+19," г.")," 0")</f>
        <v> 0</v>
      </c>
      <c r="C45" s="42"/>
      <c r="D45" s="33" t="str">
        <f>IF(YEAR(B4)+19&lt;YEAR(D4),IF(YEAR(B4)+19&gt;=B17,C17,VLOOKUP(YEAR(B4)+19,взнос,2,0)),"0")</f>
        <v>0</v>
      </c>
      <c r="E45" s="43"/>
      <c r="F45" s="43"/>
      <c r="G45" s="43"/>
      <c r="H45" s="43"/>
      <c r="I45" s="43"/>
    </row>
    <row r="46" spans="2:9" ht="12.75">
      <c r="B46" s="42" t="str">
        <f>IF(YEAR(B4)+20&lt;YEAR(D4),CONCATENATE(" ",YEAR(B4)+20," г.")," 0")</f>
        <v> 0</v>
      </c>
      <c r="C46" s="42"/>
      <c r="D46" s="33" t="str">
        <f>IF(YEAR(B4)+20&lt;YEAR(D4),IF(YEAR(B4)+20&gt;=B17,C17,VLOOKUP(YEAR(B4)+20,взнос,2,0)),"0")</f>
        <v>0</v>
      </c>
      <c r="E46" s="43"/>
      <c r="F46" s="43"/>
      <c r="G46" s="43"/>
      <c r="H46" s="43"/>
      <c r="I46" s="43"/>
    </row>
    <row r="47" spans="2:9" ht="12.75">
      <c r="B47" s="42" t="str">
        <f>IF(YEAR(B4)+21&lt;YEAR(D4),CONCATENATE(" ",YEAR(B4)+21," г.")," 0")</f>
        <v> 0</v>
      </c>
      <c r="C47" s="42"/>
      <c r="D47" s="33" t="str">
        <f>IF(YEAR(B4)+21&lt;YEAR(D4),IF(YEAR(B4)+21&gt;=B17,C17,VLOOKUP(YEAR(B4)+21,взнос,2,0)),"0")</f>
        <v>0</v>
      </c>
      <c r="E47" s="43"/>
      <c r="F47" s="43"/>
      <c r="G47" s="43"/>
      <c r="H47" s="43"/>
      <c r="I47" s="43"/>
    </row>
    <row r="48" spans="2:9" ht="12.75">
      <c r="B48" s="42" t="str">
        <f>IF(YEAR(B4)+22&lt;YEAR(D4),CONCATENATE(" ",YEAR(B4)+22," г.")," 0")</f>
        <v> 0</v>
      </c>
      <c r="C48" s="42"/>
      <c r="D48" s="33" t="str">
        <f>IF(YEAR(B4)+22&lt;YEAR(D4),IF(YEAR(B4)+22&gt;=B17,C17,VLOOKUP(YEAR(B4)+22,взнос,2,0)),"0")</f>
        <v>0</v>
      </c>
      <c r="E48" s="43"/>
      <c r="F48" s="43"/>
      <c r="G48" s="43"/>
      <c r="H48" s="43"/>
      <c r="I48" s="43"/>
    </row>
    <row r="49" spans="2:9" ht="12.75">
      <c r="B49" s="42" t="str">
        <f>IF(YEAR(B4)+23&lt;YEAR(D4),CONCATENATE(" ",YEAR(B4)+23," г.")," 0")</f>
        <v> 0</v>
      </c>
      <c r="C49" s="42"/>
      <c r="D49" s="33" t="str">
        <f>IF(YEAR(B4)+23&lt;YEAR(D4),IF(YEAR(B4)+23&gt;=B17,C17,VLOOKUP(YEAR(B4)+23,взнос,2,0)),"0")</f>
        <v>0</v>
      </c>
      <c r="E49" s="43"/>
      <c r="F49" s="43"/>
      <c r="G49" s="43"/>
      <c r="H49" s="43"/>
      <c r="I49" s="43"/>
    </row>
    <row r="50" spans="2:9" ht="12.75">
      <c r="B50" s="42" t="str">
        <f>IF(YEAR(B4)+24&lt;YEAR(D4),CONCATENATE(" ",YEAR(B4)+24," г.")," 0")</f>
        <v> 0</v>
      </c>
      <c r="C50" s="42"/>
      <c r="D50" s="33" t="str">
        <f>IF(YEAR(B4)+24&lt;YEAR(D4),IF(YEAR(B4)+24&gt;=B17,C17,VLOOKUP(YEAR(B4)+24,взнос,2,0)),"0")</f>
        <v>0</v>
      </c>
      <c r="E50" s="43"/>
      <c r="F50" s="43"/>
      <c r="G50" s="43"/>
      <c r="H50" s="43"/>
      <c r="I50" s="43"/>
    </row>
    <row r="51" spans="2:9" ht="12.75">
      <c r="B51" s="42" t="str">
        <f>IF(YEAR(B4)+25&lt;YEAR(D4),CONCATENATE(" ",YEAR(B4)+25," г.")," 0")</f>
        <v> 0</v>
      </c>
      <c r="C51" s="42"/>
      <c r="D51" s="33" t="str">
        <f>IF(YEAR(B4)+25&lt;YEAR(D4),IF(YEAR(B4)+25&gt;=B17,C17,VLOOKUP(YEAR(B4)+25,взнос,2,0)),"0")</f>
        <v>0</v>
      </c>
      <c r="E51" s="43"/>
      <c r="F51" s="43"/>
      <c r="G51" s="43"/>
      <c r="H51" s="43"/>
      <c r="I51" s="43"/>
    </row>
    <row r="52" spans="2:9" ht="12.75">
      <c r="B52" s="42" t="str">
        <f>IF(YEAR(B4)+26&lt;YEAR(D4),CONCATENATE(" ",YEAR(B4)+26," г.")," 0")</f>
        <v> 0</v>
      </c>
      <c r="C52" s="42"/>
      <c r="D52" s="33" t="str">
        <f>IF(YEAR(B4)+26&lt;YEAR(D4),IF(YEAR(B4)+26&gt;=B17,C17,VLOOKUP(YEAR(B4)+26,взнос,2,0)),"0")</f>
        <v>0</v>
      </c>
      <c r="E52" s="43"/>
      <c r="F52" s="43"/>
      <c r="G52" s="43"/>
      <c r="H52" s="43"/>
      <c r="I52" s="43"/>
    </row>
    <row r="53" spans="2:9" ht="12.75">
      <c r="B53" s="42" t="str">
        <f>IF(YEAR(B4)+27&lt;YEAR(D4),CONCATENATE(" ",YEAR(B4)+27," г.")," 0")</f>
        <v> 0</v>
      </c>
      <c r="C53" s="42"/>
      <c r="D53" s="33" t="str">
        <f>IF(YEAR(B4)+27&lt;YEAR(D4),IF(YEAR(B4)+27&gt;=B17,C17,VLOOKUP(YEAR(B4)+27,взнос,2,0)),"0")</f>
        <v>0</v>
      </c>
      <c r="E53" s="43"/>
      <c r="F53" s="43"/>
      <c r="G53" s="43"/>
      <c r="H53" s="43"/>
      <c r="I53" s="43"/>
    </row>
    <row r="54" spans="2:9" ht="12.75">
      <c r="B54" s="42" t="str">
        <f>IF(YEAR(B4)+28&lt;YEAR(D4),CONCATENATE(" ",YEAR(B4)+28," г.")," 0")</f>
        <v> 0</v>
      </c>
      <c r="C54" s="42"/>
      <c r="D54" s="32" t="str">
        <f>IF(YEAR(B4)+28&lt;YEAR(D4),IF(YEAR(B4)+28&gt;=B17,C17,VLOOKUP(YEAR(B4)+28,взнос,2,0)),"0")</f>
        <v>0</v>
      </c>
      <c r="E54" s="43"/>
      <c r="F54" s="43"/>
      <c r="G54" s="43"/>
      <c r="H54" s="43"/>
      <c r="I54" s="43"/>
    </row>
    <row r="55" spans="2:9" ht="12.75">
      <c r="B55" s="42" t="str">
        <f>IF(YEAR(B4)+29&lt;YEAR(D4),CONCATENATE(" ",YEAR(B4)+29," г.")," 0")</f>
        <v> 0</v>
      </c>
      <c r="C55" s="42"/>
      <c r="D55" s="32" t="str">
        <f>IF(YEAR(B4)+29&lt;YEAR(D4),IF(YEAR(B4)+29&gt;=B17,C17,VLOOKUP(YEAR(B4)+29,взнос,2,0)),"0")</f>
        <v>0</v>
      </c>
      <c r="E55" s="43"/>
      <c r="F55" s="43"/>
      <c r="G55" s="43"/>
      <c r="H55" s="43"/>
      <c r="I55" s="43"/>
    </row>
    <row r="56" spans="2:9" ht="12.75">
      <c r="B56" s="42" t="str">
        <f>IF(YEAR(B4)+30&lt;YEAR(D4),CONCATENATE(" ",YEAR(B4)+30," г.")," 0")</f>
        <v> 0</v>
      </c>
      <c r="C56" s="42"/>
      <c r="D56" s="32" t="str">
        <f>IF(YEAR(B4)+30&lt;YEAR(D4),IF(YEAR(B4)+30&gt;=B17,C17,VLOOKUP(YEAR(B4)+30,взнос,2,0)),"0")</f>
        <v>0</v>
      </c>
      <c r="E56" s="43"/>
      <c r="F56" s="43"/>
      <c r="G56" s="43"/>
      <c r="H56" s="43"/>
      <c r="I56" s="43"/>
    </row>
    <row r="57" spans="2:9" ht="12.75">
      <c r="B57" s="57" t="s">
        <v>31</v>
      </c>
      <c r="C57" s="58"/>
      <c r="D57" s="34">
        <f>SUM(D23:D56)</f>
        <v>1043096.7741935484</v>
      </c>
      <c r="E57" s="59"/>
      <c r="F57" s="59"/>
      <c r="G57" s="59"/>
      <c r="H57" s="59"/>
      <c r="I57" s="59"/>
    </row>
    <row r="58" spans="2:9" ht="12.75">
      <c r="B58" s="43"/>
      <c r="C58" s="43"/>
      <c r="E58" s="43"/>
      <c r="F58" s="43"/>
      <c r="G58" s="43"/>
      <c r="H58" s="43"/>
      <c r="I58" s="43"/>
    </row>
    <row r="61" spans="5:13" ht="12.75">
      <c r="E61" s="1"/>
      <c r="F61" s="1"/>
      <c r="G61" s="1"/>
      <c r="H61" s="1" t="s">
        <v>7</v>
      </c>
      <c r="I61" s="1"/>
      <c r="J61" s="1"/>
      <c r="K61" s="1"/>
      <c r="L61" s="1"/>
      <c r="M61" s="1"/>
    </row>
    <row r="62" spans="5:13" ht="12.75">
      <c r="E62" s="1"/>
      <c r="F62" s="1"/>
      <c r="G62" s="1"/>
      <c r="H62" s="1"/>
      <c r="I62" s="1"/>
      <c r="J62" s="1"/>
      <c r="K62" s="1"/>
      <c r="L62" s="1"/>
      <c r="M62" s="1"/>
    </row>
    <row r="63" spans="2:14" ht="12.75">
      <c r="B63" s="1"/>
      <c r="C63" s="1"/>
      <c r="D63" s="1"/>
      <c r="E63" s="1" t="s">
        <v>5</v>
      </c>
      <c r="F63" s="1"/>
      <c r="G63" s="1"/>
      <c r="H63" s="1" t="s">
        <v>26</v>
      </c>
      <c r="I63" s="1"/>
      <c r="J63" s="1"/>
      <c r="K63" s="1" t="s">
        <v>6</v>
      </c>
      <c r="L63" s="1"/>
      <c r="M63" s="1"/>
      <c r="N63" s="1" t="s">
        <v>30</v>
      </c>
    </row>
    <row r="64" spans="2:14" ht="12.75">
      <c r="B64" s="1"/>
      <c r="C64" s="1"/>
      <c r="D64" s="1"/>
      <c r="E64" s="1" t="str">
        <f>IF(MONTH(B4)=1,"январь",E65)</f>
        <v>январь</v>
      </c>
      <c r="F64" s="1"/>
      <c r="G64" s="1"/>
      <c r="H64" s="1" t="str">
        <f>IF(MONTH(B4)=1,"февраль",H65)</f>
        <v>февраль</v>
      </c>
      <c r="I64" s="1"/>
      <c r="J64" s="1"/>
      <c r="K64" s="1" t="str">
        <f>IF(MONTH(D4)=1,"январь",K65)</f>
        <v>август</v>
      </c>
      <c r="L64" s="1"/>
      <c r="M64" s="1"/>
      <c r="N64" s="1" t="str">
        <f>IF(MONTH(D4)=2,"январь",N65)</f>
        <v>июль</v>
      </c>
    </row>
    <row r="65" spans="2:14" ht="12.75">
      <c r="B65" s="1"/>
      <c r="C65" s="1"/>
      <c r="D65" s="1"/>
      <c r="E65" s="1">
        <f>IF(MONTH(B4)=2,"февраль",E66)</f>
        <v>0</v>
      </c>
      <c r="F65" s="1"/>
      <c r="G65" s="1"/>
      <c r="H65" s="1">
        <f>IF(MONTH(B4)=2,"март",H66)</f>
        <v>0</v>
      </c>
      <c r="I65" s="1"/>
      <c r="J65" s="1"/>
      <c r="K65" s="1" t="str">
        <f>IF(MONTH(D4)=2,"февраль",K66)</f>
        <v>август</v>
      </c>
      <c r="L65" s="1"/>
      <c r="M65" s="1"/>
      <c r="N65" s="1" t="str">
        <f>IF(MONTH(D4)=3,"февраль",N66)</f>
        <v>июль</v>
      </c>
    </row>
    <row r="66" spans="2:14" ht="12.75">
      <c r="B66" s="1"/>
      <c r="C66" s="1"/>
      <c r="D66" s="1"/>
      <c r="E66" s="1">
        <f>IF(MONTH(B4)=3,"март",E67)</f>
        <v>0</v>
      </c>
      <c r="F66" s="1"/>
      <c r="G66" s="1"/>
      <c r="H66" s="1">
        <f>IF(MONTH(B4)=3,"апрель",H67)</f>
        <v>0</v>
      </c>
      <c r="I66" s="1"/>
      <c r="J66" s="1"/>
      <c r="K66" s="1" t="str">
        <f>IF(MONTH(D4)=3,"март",K67)</f>
        <v>август</v>
      </c>
      <c r="L66" s="1"/>
      <c r="M66" s="1"/>
      <c r="N66" s="1" t="str">
        <f>IF(MONTH(D4)=4,"март",N67)</f>
        <v>июль</v>
      </c>
    </row>
    <row r="67" spans="2:14" ht="12.75">
      <c r="B67" s="1"/>
      <c r="C67" s="1"/>
      <c r="D67" s="1"/>
      <c r="E67" s="1">
        <f>IF(MONTH(B4)=4,"апрель",E68)</f>
        <v>0</v>
      </c>
      <c r="F67" s="1"/>
      <c r="G67" s="1"/>
      <c r="H67" s="1">
        <f>IF(MONTH(B4)=4,"май",H68)</f>
        <v>0</v>
      </c>
      <c r="I67" s="1"/>
      <c r="J67" s="1"/>
      <c r="K67" s="1" t="str">
        <f>IF(MONTH(D4)=4,"апрель",K68)</f>
        <v>август</v>
      </c>
      <c r="L67" s="1"/>
      <c r="M67" s="1"/>
      <c r="N67" s="1" t="str">
        <f>IF(MONTH(D4)=5,"апрель",N68)</f>
        <v>июль</v>
      </c>
    </row>
    <row r="68" spans="2:14" ht="12.75">
      <c r="B68" s="1"/>
      <c r="C68" s="1"/>
      <c r="D68" s="1"/>
      <c r="E68" s="1">
        <f>IF(MONTH(B4)=5,"май",E69)</f>
        <v>0</v>
      </c>
      <c r="F68" s="1"/>
      <c r="G68" s="1"/>
      <c r="H68" s="1">
        <f>IF(MONTH(B4)=5,"июнь",H69)</f>
        <v>0</v>
      </c>
      <c r="I68" s="1"/>
      <c r="J68" s="1"/>
      <c r="K68" s="1" t="str">
        <f>IF(MONTH(D4)=5,"май",K69)</f>
        <v>август</v>
      </c>
      <c r="L68" s="1"/>
      <c r="M68" s="1"/>
      <c r="N68" s="1" t="str">
        <f>IF(MONTH(D4)=6,"май",N69)</f>
        <v>июль</v>
      </c>
    </row>
    <row r="69" spans="2:14" ht="12.75">
      <c r="B69" s="1"/>
      <c r="C69" s="1"/>
      <c r="D69" s="1"/>
      <c r="E69" s="1">
        <f>IF(MONTH(B4)=6,"июнь",E70)</f>
        <v>0</v>
      </c>
      <c r="F69" s="1"/>
      <c r="G69" s="1"/>
      <c r="H69" s="1">
        <f>IF(MONTH(B4)=6,"июль",H70)</f>
        <v>0</v>
      </c>
      <c r="I69" s="1"/>
      <c r="J69" s="1"/>
      <c r="K69" s="1" t="str">
        <f>IF(MONTH(D4)=6,"июнь",K70)</f>
        <v>август</v>
      </c>
      <c r="L69" s="1"/>
      <c r="M69" s="1"/>
      <c r="N69" s="1" t="str">
        <f>IF(MONTH(D4)=7,"июнь",N70)</f>
        <v>июль</v>
      </c>
    </row>
    <row r="70" spans="2:14" ht="12.75">
      <c r="B70" s="1"/>
      <c r="C70" s="1"/>
      <c r="D70" s="1"/>
      <c r="E70" s="1">
        <f>IF(MONTH(B4)=7,"июль",E71)</f>
        <v>0</v>
      </c>
      <c r="F70" s="1"/>
      <c r="G70" s="1"/>
      <c r="H70" s="1">
        <f>IF(MONTH(B4)=7,"август",H71)</f>
        <v>0</v>
      </c>
      <c r="I70" s="1"/>
      <c r="J70" s="1"/>
      <c r="K70" s="1" t="str">
        <f>IF(MONTH(D4)=7,"июль",K71)</f>
        <v>август</v>
      </c>
      <c r="L70" s="1"/>
      <c r="M70" s="1"/>
      <c r="N70" s="1" t="str">
        <f>IF(MONTH(D4)=8,"июль",N71)</f>
        <v>июль</v>
      </c>
    </row>
    <row r="71" spans="2:14" ht="12.75">
      <c r="B71" s="1"/>
      <c r="C71" s="1"/>
      <c r="D71" s="1"/>
      <c r="E71" s="1">
        <f>IF(MONTH(B4)=8,"август",E72)</f>
        <v>0</v>
      </c>
      <c r="F71" s="1"/>
      <c r="G71" s="1"/>
      <c r="H71" s="1">
        <f>IF(MONTH(B4)=8,"сентябрь",H72)</f>
        <v>0</v>
      </c>
      <c r="I71" s="1"/>
      <c r="J71" s="1"/>
      <c r="K71" s="1" t="str">
        <f>IF(MONTH(D4)=8,"август",K72)</f>
        <v>август</v>
      </c>
      <c r="L71" s="1"/>
      <c r="M71" s="1"/>
      <c r="N71" s="1" t="str">
        <f>IF(MONTH(D4)=8,"июль",N72)</f>
        <v>июль</v>
      </c>
    </row>
    <row r="72" spans="2:14" ht="12.75">
      <c r="B72" s="1"/>
      <c r="C72" s="1"/>
      <c r="D72" s="1"/>
      <c r="E72" s="1">
        <f>IF(MONTH(B4)=9,"сентябрь",E73)</f>
        <v>0</v>
      </c>
      <c r="F72" s="1"/>
      <c r="G72" s="1"/>
      <c r="H72" s="1">
        <f>IF(MONTH(B4)=9,"октябрь",H73)</f>
        <v>0</v>
      </c>
      <c r="I72" s="1"/>
      <c r="J72" s="1"/>
      <c r="K72" s="1">
        <f>IF(MONTH(D4)=9,"сентябрь",K73)</f>
        <v>0</v>
      </c>
      <c r="L72" s="1"/>
      <c r="M72" s="1"/>
      <c r="N72" s="1">
        <f>IF(MONTH(D4)=9,"август",N73)</f>
        <v>0</v>
      </c>
    </row>
    <row r="73" spans="2:14" ht="12.75">
      <c r="B73" s="1"/>
      <c r="C73" s="1"/>
      <c r="D73" s="1"/>
      <c r="E73" s="1">
        <f>IF(MONTH(B4)=10,"октябрь",E74)</f>
        <v>0</v>
      </c>
      <c r="F73" s="1"/>
      <c r="G73" s="1"/>
      <c r="H73" s="1">
        <f>IF(MONTH(B4)=10,"ноябрь",H74)</f>
        <v>0</v>
      </c>
      <c r="I73" s="1"/>
      <c r="J73" s="1"/>
      <c r="K73" s="1">
        <f>IF(MONTH(D4)=10,"октябрь",K74)</f>
        <v>0</v>
      </c>
      <c r="L73" s="1"/>
      <c r="M73" s="1"/>
      <c r="N73" s="1">
        <f>IF(MONTH(D4)=10,"сентябрь",N74)</f>
        <v>0</v>
      </c>
    </row>
    <row r="74" spans="2:14" ht="12.75">
      <c r="B74" s="1"/>
      <c r="C74" s="1"/>
      <c r="D74" s="1"/>
      <c r="E74" s="1">
        <f>IF(MONTH(B4)=11,"ноябрь",E75)</f>
        <v>0</v>
      </c>
      <c r="F74" s="1"/>
      <c r="G74" s="1"/>
      <c r="H74" s="1">
        <f>IF(MONTH(B4)=11,"декабрь",H75)</f>
        <v>0</v>
      </c>
      <c r="I74" s="1"/>
      <c r="J74" s="1"/>
      <c r="K74" s="1">
        <f>IF(MONTH(D4)=11,"ноябрь",K75)</f>
        <v>0</v>
      </c>
      <c r="L74" s="1"/>
      <c r="M74" s="1"/>
      <c r="N74" s="1">
        <f>IF(MONTH(D4)=11,"октябрь",N75)</f>
        <v>0</v>
      </c>
    </row>
    <row r="75" spans="2:14" ht="12.75">
      <c r="B75" s="1"/>
      <c r="C75" s="1"/>
      <c r="D75" s="1"/>
      <c r="E75" s="1">
        <f>IF(MONTH(B4)=12,"декабрь",E76)</f>
        <v>0</v>
      </c>
      <c r="F75" s="1"/>
      <c r="G75" s="1"/>
      <c r="H75" s="1"/>
      <c r="I75" s="1"/>
      <c r="J75" s="1"/>
      <c r="K75" s="1">
        <f>IF(MONTH(D4)=12,"декабрь",K76)</f>
        <v>0</v>
      </c>
      <c r="L75" s="1"/>
      <c r="M75" s="1"/>
      <c r="N75" s="1">
        <f>IF(MONTH(D4)=12,"ноябрь",N76)</f>
        <v>0</v>
      </c>
    </row>
    <row r="76" spans="2:13" ht="12.75">
      <c r="B76" s="8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8"/>
      <c r="E77" s="1" t="s">
        <v>22</v>
      </c>
      <c r="F77" s="1"/>
      <c r="G77" s="1"/>
      <c r="H77" s="1"/>
      <c r="I77" s="1"/>
      <c r="J77" s="1"/>
      <c r="K77" s="1" t="s">
        <v>23</v>
      </c>
      <c r="L77" s="1"/>
      <c r="M77" s="1"/>
    </row>
    <row r="78" spans="2:13" ht="12.75">
      <c r="B78" s="8"/>
      <c r="C78" s="1"/>
      <c r="D78" s="8"/>
      <c r="E78" s="1">
        <f>IF(YEAR(B4)=B10,C10,E79)</f>
        <v>82800</v>
      </c>
      <c r="F78" s="1"/>
      <c r="G78" s="1"/>
      <c r="H78" s="1"/>
      <c r="I78" s="1"/>
      <c r="J78" s="1"/>
      <c r="K78" s="1">
        <f>IF(YEAR(D4)=B10,C10,K79)</f>
        <v>205200</v>
      </c>
      <c r="L78" s="1"/>
      <c r="M78" s="1"/>
    </row>
    <row r="79" spans="2:13" ht="12.75">
      <c r="B79" s="8"/>
      <c r="C79" s="1"/>
      <c r="D79" s="8"/>
      <c r="E79" s="1">
        <f>IF(YEAR(B4)=B11,C11,E80)</f>
        <v>82800</v>
      </c>
      <c r="F79" s="1"/>
      <c r="G79" s="1"/>
      <c r="H79" s="1"/>
      <c r="I79" s="1"/>
      <c r="J79" s="1"/>
      <c r="K79" s="1">
        <f>IF(YEAR(D4)=B11,C11,K80)</f>
        <v>205200</v>
      </c>
      <c r="L79" s="1"/>
      <c r="M79" s="1"/>
    </row>
    <row r="80" spans="2:13" ht="12.75">
      <c r="B80" s="8"/>
      <c r="C80" s="1"/>
      <c r="D80" s="8"/>
      <c r="E80" s="1">
        <f>IF(YEAR(B4)=B12,C12,E81)</f>
        <v>82800</v>
      </c>
      <c r="F80" s="1"/>
      <c r="G80" s="1"/>
      <c r="H80" s="1"/>
      <c r="I80" s="1"/>
      <c r="J80" s="1"/>
      <c r="K80" s="1">
        <f>IF(YEAR(D4)=B12,C12,K81)</f>
        <v>205200</v>
      </c>
      <c r="L80" s="1"/>
      <c r="M80" s="1"/>
    </row>
    <row r="81" spans="2:13" ht="12.75">
      <c r="B81" s="8"/>
      <c r="C81" s="1"/>
      <c r="D81" s="8"/>
      <c r="E81" s="1">
        <f>IF(YEAR(B4)=B13,C13,E82)</f>
        <v>0</v>
      </c>
      <c r="F81" s="1"/>
      <c r="G81" s="1"/>
      <c r="H81" s="1"/>
      <c r="I81" s="1"/>
      <c r="J81" s="1"/>
      <c r="K81" s="1">
        <f>IF(YEAR(D4)=B13,C13,K82)</f>
        <v>205200</v>
      </c>
      <c r="L81" s="1"/>
      <c r="M81" s="1"/>
    </row>
    <row r="82" spans="2:13" ht="12.75">
      <c r="B82" s="8"/>
      <c r="C82" s="1"/>
      <c r="D82" s="8"/>
      <c r="E82" s="1">
        <f>IF(YEAR(B4)=B14,C14,E83)</f>
        <v>0</v>
      </c>
      <c r="F82" s="1"/>
      <c r="G82" s="1"/>
      <c r="H82" s="1"/>
      <c r="I82" s="1"/>
      <c r="J82" s="1"/>
      <c r="K82" s="1">
        <f>IF(YEAR(D4)=B14,C14,K83)</f>
        <v>205200</v>
      </c>
      <c r="L82" s="1"/>
      <c r="M82" s="1"/>
    </row>
    <row r="83" spans="2:13" ht="12.75">
      <c r="B83" s="8"/>
      <c r="C83" s="1"/>
      <c r="D83" s="8"/>
      <c r="E83" s="1">
        <f>IF(YEAR(B4)=B15,C15,E84)</f>
        <v>0</v>
      </c>
      <c r="F83" s="1"/>
      <c r="G83" s="1"/>
      <c r="H83" s="1"/>
      <c r="I83" s="1"/>
      <c r="J83" s="1"/>
      <c r="K83" s="1">
        <f>IF(YEAR(D4)=B15,C15,K84)</f>
        <v>205200</v>
      </c>
      <c r="L83" s="1"/>
      <c r="M83" s="1"/>
    </row>
    <row r="84" spans="2:13" ht="12.75">
      <c r="B84" s="8"/>
      <c r="C84" s="1"/>
      <c r="D84" s="8"/>
      <c r="E84" s="1">
        <f>IF(YEAR(B4)=B16,C16,E85)</f>
        <v>0</v>
      </c>
      <c r="F84" s="1"/>
      <c r="G84" s="1"/>
      <c r="H84" s="1"/>
      <c r="I84" s="1"/>
      <c r="J84" s="1"/>
      <c r="K84" s="1">
        <f>IF(YEAR(D4)=B16,C16,K85)</f>
        <v>205200</v>
      </c>
      <c r="L84" s="1"/>
      <c r="M84" s="1"/>
    </row>
    <row r="85" spans="2:13" ht="12.75">
      <c r="B85" s="8"/>
      <c r="C85" s="1"/>
      <c r="D85" s="8"/>
      <c r="E85" s="1">
        <f>IF(YEAR(B4)=B17,C17,E86)</f>
        <v>0</v>
      </c>
      <c r="F85" s="1"/>
      <c r="G85" s="1"/>
      <c r="H85" s="1"/>
      <c r="I85" s="1"/>
      <c r="J85" s="1"/>
      <c r="K85" s="1">
        <f>IF(YEAR(D4)&gt;=B17,C17,K86)</f>
        <v>205200</v>
      </c>
      <c r="L85" s="1"/>
      <c r="M85" s="1"/>
    </row>
    <row r="86" spans="2:13" ht="12.75">
      <c r="B86" s="8"/>
      <c r="C86" s="1"/>
      <c r="D86" s="8"/>
      <c r="E86" s="1"/>
      <c r="F86" s="1"/>
      <c r="G86" s="1"/>
      <c r="H86" s="1"/>
      <c r="I86" s="1"/>
      <c r="J86" s="1"/>
      <c r="K86" s="1"/>
      <c r="L86" s="1"/>
      <c r="M86" s="1"/>
    </row>
    <row r="87" spans="2:13" ht="12" customHeight="1">
      <c r="B87" s="8"/>
      <c r="C87" s="1"/>
      <c r="E87" s="1" t="s">
        <v>24</v>
      </c>
      <c r="F87" s="1"/>
      <c r="G87" s="1"/>
      <c r="H87" s="1"/>
      <c r="I87" s="1"/>
      <c r="J87" s="1"/>
      <c r="K87" s="14" t="s">
        <v>25</v>
      </c>
      <c r="L87" s="1"/>
      <c r="M87" s="1"/>
    </row>
    <row r="88" spans="2:13" ht="12" customHeight="1">
      <c r="B88" s="8"/>
      <c r="C88" s="1"/>
      <c r="D88" s="8"/>
      <c r="E88" s="11">
        <f>E78/12</f>
        <v>6900</v>
      </c>
      <c r="F88" s="1"/>
      <c r="G88" s="1"/>
      <c r="H88" s="1"/>
      <c r="I88" s="1"/>
      <c r="J88" s="1"/>
      <c r="K88" s="11">
        <f>K78/12</f>
        <v>17100</v>
      </c>
      <c r="L88" s="1"/>
      <c r="M88" s="1"/>
    </row>
    <row r="89" spans="2:13" ht="12.75">
      <c r="B89" s="8"/>
      <c r="C89" s="1"/>
      <c r="D89" s="8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8"/>
      <c r="C90" s="1"/>
      <c r="E90" s="15" t="s">
        <v>20</v>
      </c>
      <c r="F90" s="1"/>
      <c r="G90" s="1"/>
      <c r="H90" s="1"/>
      <c r="I90" s="1"/>
      <c r="J90" s="1"/>
      <c r="K90" s="15" t="s">
        <v>21</v>
      </c>
      <c r="L90" s="1"/>
      <c r="M90" s="1"/>
    </row>
    <row r="91" spans="4:13" ht="12.75">
      <c r="D91" s="4"/>
      <c r="E91" s="1">
        <f>DAY(DATE(YEAR(B4),MONTH(B4)+1,1)-1)</f>
        <v>31</v>
      </c>
      <c r="F91" s="16"/>
      <c r="G91" s="15"/>
      <c r="H91" s="1"/>
      <c r="I91" s="1"/>
      <c r="J91" s="1"/>
      <c r="K91" s="1">
        <f>DAY(DATE(YEAR(D4),MONTH(D4)+1,1)-1)</f>
        <v>31</v>
      </c>
      <c r="L91" s="1"/>
      <c r="M91" s="1"/>
    </row>
    <row r="92" spans="2:13" ht="12.75">
      <c r="B92" s="8"/>
      <c r="C92" s="1"/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8"/>
      <c r="C93" s="1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8"/>
      <c r="C94" s="1"/>
      <c r="E94" s="1" t="s">
        <v>27</v>
      </c>
      <c r="F94" s="1"/>
      <c r="G94" s="1"/>
      <c r="H94" s="1"/>
      <c r="I94" s="1"/>
      <c r="J94" s="1"/>
      <c r="K94" s="1"/>
      <c r="L94" s="1"/>
      <c r="M94" s="1"/>
    </row>
    <row r="95" spans="2:13" ht="12.75">
      <c r="B95" s="8"/>
      <c r="C95" s="1"/>
      <c r="D95" s="8"/>
      <c r="E95" s="1">
        <f>VLOOKUP(YEAR(B4),взнос,2,0)</f>
        <v>82800</v>
      </c>
      <c r="F95" s="1"/>
      <c r="G95" s="1"/>
      <c r="H95" s="1"/>
      <c r="I95" s="1"/>
      <c r="J95" s="1"/>
      <c r="K95" s="1"/>
      <c r="L95" s="1"/>
      <c r="M95" s="1"/>
    </row>
    <row r="96" spans="2:13" ht="12.75">
      <c r="B96" s="8"/>
      <c r="C96" s="1"/>
      <c r="D96" s="8"/>
      <c r="E96" s="1" t="s">
        <v>28</v>
      </c>
      <c r="F96" s="1"/>
      <c r="G96" s="1"/>
      <c r="H96" s="1"/>
      <c r="I96" s="1"/>
      <c r="J96" s="1"/>
      <c r="K96" s="1"/>
      <c r="L96" s="1"/>
      <c r="M96" s="1"/>
    </row>
    <row r="97" spans="2:13" ht="12.75">
      <c r="B97" s="8"/>
      <c r="C97" s="1"/>
      <c r="D97" s="8"/>
      <c r="E97" s="1">
        <f>VLOOKUP(YEAR(B4),взнос,3,0)</f>
        <v>6900</v>
      </c>
      <c r="F97" s="1"/>
      <c r="G97" s="1"/>
      <c r="H97" s="1"/>
      <c r="I97" s="1"/>
      <c r="J97" s="1"/>
      <c r="K97" s="1"/>
      <c r="L97" s="1"/>
      <c r="M97" s="1"/>
    </row>
    <row r="98" spans="5:13" ht="12.75">
      <c r="E98" s="1"/>
      <c r="F98" s="1"/>
      <c r="G98" s="1"/>
      <c r="H98" s="1"/>
      <c r="I98" s="1"/>
      <c r="J98" s="1"/>
      <c r="K98" s="1"/>
      <c r="L98" s="1"/>
      <c r="M98" s="1"/>
    </row>
    <row r="99" spans="5:13" ht="12.75">
      <c r="E99" s="1" t="s">
        <v>29</v>
      </c>
      <c r="F99" s="1"/>
      <c r="G99" s="1"/>
      <c r="H99" s="1"/>
      <c r="I99" s="1"/>
      <c r="J99" s="1"/>
      <c r="K99" s="1"/>
      <c r="L99" s="1"/>
      <c r="M99" s="1"/>
    </row>
    <row r="100" spans="5:13" ht="12.75">
      <c r="E100" s="27">
        <f>YEAR(D4)-YEAR(B4)-1</f>
        <v>5</v>
      </c>
      <c r="F100" s="1"/>
      <c r="G100" s="1"/>
      <c r="H100" s="1"/>
      <c r="I100" s="1"/>
      <c r="J100" s="1"/>
      <c r="K100" s="1"/>
      <c r="L100" s="1"/>
      <c r="M100" s="1"/>
    </row>
  </sheetData>
  <sheetProtection/>
  <mergeCells count="76">
    <mergeCell ref="B58:C58"/>
    <mergeCell ref="E58:I58"/>
    <mergeCell ref="B55:C55"/>
    <mergeCell ref="E55:I55"/>
    <mergeCell ref="B56:C56"/>
    <mergeCell ref="B57:C57"/>
    <mergeCell ref="E56:I56"/>
    <mergeCell ref="E57:I57"/>
    <mergeCell ref="B51:C51"/>
    <mergeCell ref="B52:C52"/>
    <mergeCell ref="B53:C53"/>
    <mergeCell ref="B54:C54"/>
    <mergeCell ref="E51:I51"/>
    <mergeCell ref="E52:I52"/>
    <mergeCell ref="E53:I53"/>
    <mergeCell ref="E54:I54"/>
    <mergeCell ref="B48:C48"/>
    <mergeCell ref="E48:I48"/>
    <mergeCell ref="E49:I49"/>
    <mergeCell ref="E50:I50"/>
    <mergeCell ref="B49:C49"/>
    <mergeCell ref="B50:C50"/>
    <mergeCell ref="E46:I46"/>
    <mergeCell ref="E45:I45"/>
    <mergeCell ref="B47:C47"/>
    <mergeCell ref="E47:I47"/>
    <mergeCell ref="E40:I40"/>
    <mergeCell ref="E41:I41"/>
    <mergeCell ref="E42:I42"/>
    <mergeCell ref="E43:I43"/>
    <mergeCell ref="B43:C43"/>
    <mergeCell ref="B46:C46"/>
    <mergeCell ref="B45:C45"/>
    <mergeCell ref="E32:I32"/>
    <mergeCell ref="E33:I33"/>
    <mergeCell ref="E34:I34"/>
    <mergeCell ref="E35:I35"/>
    <mergeCell ref="E36:I36"/>
    <mergeCell ref="E37:I37"/>
    <mergeCell ref="E38:I38"/>
    <mergeCell ref="B38:C38"/>
    <mergeCell ref="B40:C40"/>
    <mergeCell ref="B41:C41"/>
    <mergeCell ref="B42:C42"/>
    <mergeCell ref="B34:C34"/>
    <mergeCell ref="B35:C35"/>
    <mergeCell ref="B36:C36"/>
    <mergeCell ref="B37:C37"/>
    <mergeCell ref="E27:I27"/>
    <mergeCell ref="B29:C29"/>
    <mergeCell ref="B32:C32"/>
    <mergeCell ref="B33:C33"/>
    <mergeCell ref="E28:I28"/>
    <mergeCell ref="B31:C31"/>
    <mergeCell ref="E31:I31"/>
    <mergeCell ref="B28:C28"/>
    <mergeCell ref="B3:C3"/>
    <mergeCell ref="B24:C24"/>
    <mergeCell ref="B27:C27"/>
    <mergeCell ref="E22:I22"/>
    <mergeCell ref="E23:I23"/>
    <mergeCell ref="E24:I24"/>
    <mergeCell ref="B23:C23"/>
    <mergeCell ref="B26:C26"/>
    <mergeCell ref="E26:I26"/>
    <mergeCell ref="B22:C22"/>
    <mergeCell ref="B4:C4"/>
    <mergeCell ref="B39:C39"/>
    <mergeCell ref="E39:I39"/>
    <mergeCell ref="B44:C44"/>
    <mergeCell ref="E44:I44"/>
    <mergeCell ref="B30:C30"/>
    <mergeCell ref="E25:I25"/>
    <mergeCell ref="B25:C25"/>
    <mergeCell ref="E29:I29"/>
    <mergeCell ref="E30:I30"/>
  </mergeCells>
  <dataValidations count="1">
    <dataValidation type="list" showInputMessage="1" showErrorMessage="1" sqref="B64:B75">
      <formula1>$B$4:$B$4</formula1>
    </dataValidation>
  </dataValidations>
  <printOptions/>
  <pageMargins left="0.3937007874015748" right="0.1968503937007874" top="0.3937007874015748" bottom="0" header="0" footer="0"/>
  <pageSetup horizontalDpi="600" verticalDpi="600" orientation="portrait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5:D37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2" max="2" width="47.00390625" style="0" customWidth="1"/>
    <col min="3" max="3" width="19.375" style="0" customWidth="1"/>
    <col min="4" max="4" width="22.625" style="0" customWidth="1"/>
  </cols>
  <sheetData>
    <row r="5" spans="2:4" ht="12.75">
      <c r="B5" s="60" t="s">
        <v>16</v>
      </c>
      <c r="C5" s="60"/>
      <c r="D5" s="60"/>
    </row>
    <row r="8" spans="2:4" ht="51">
      <c r="B8" s="10" t="s">
        <v>10</v>
      </c>
      <c r="C8" s="10" t="s">
        <v>11</v>
      </c>
      <c r="D8" s="10" t="s">
        <v>12</v>
      </c>
    </row>
    <row r="9" spans="2:4" ht="55.5" customHeight="1">
      <c r="B9" s="9" t="s">
        <v>13</v>
      </c>
      <c r="C9" s="7" t="s">
        <v>14</v>
      </c>
      <c r="D9" s="7" t="s">
        <v>15</v>
      </c>
    </row>
    <row r="10" spans="2:4" ht="51">
      <c r="B10" s="39" t="s">
        <v>32</v>
      </c>
      <c r="C10" s="7" t="s">
        <v>33</v>
      </c>
      <c r="D10" s="7" t="s">
        <v>34</v>
      </c>
    </row>
    <row r="11" spans="2:4" ht="63.75">
      <c r="B11" s="39" t="s">
        <v>35</v>
      </c>
      <c r="C11" s="7" t="s">
        <v>46</v>
      </c>
      <c r="D11" s="7" t="s">
        <v>47</v>
      </c>
    </row>
    <row r="12" spans="2:4" ht="63.75">
      <c r="B12" s="39" t="s">
        <v>36</v>
      </c>
      <c r="C12" s="7" t="s">
        <v>48</v>
      </c>
      <c r="D12" s="7" t="s">
        <v>49</v>
      </c>
    </row>
    <row r="13" spans="2:4" ht="63.75">
      <c r="B13" s="39" t="s">
        <v>37</v>
      </c>
      <c r="C13" s="7" t="s">
        <v>48</v>
      </c>
      <c r="D13" s="7" t="s">
        <v>49</v>
      </c>
    </row>
    <row r="14" spans="2:4" ht="76.5">
      <c r="B14" s="39" t="s">
        <v>38</v>
      </c>
      <c r="C14" s="7" t="s">
        <v>48</v>
      </c>
      <c r="D14" s="7" t="s">
        <v>49</v>
      </c>
    </row>
    <row r="15" spans="2:4" ht="63.75">
      <c r="B15" s="39" t="s">
        <v>39</v>
      </c>
      <c r="C15" s="7" t="s">
        <v>48</v>
      </c>
      <c r="D15" s="7" t="s">
        <v>49</v>
      </c>
    </row>
    <row r="16" spans="2:4" ht="89.25">
      <c r="B16" s="37" t="s">
        <v>40</v>
      </c>
      <c r="C16" s="7" t="s">
        <v>14</v>
      </c>
      <c r="D16" s="7" t="s">
        <v>15</v>
      </c>
    </row>
    <row r="17" spans="2:4" ht="89.25">
      <c r="B17" s="37" t="s">
        <v>41</v>
      </c>
      <c r="C17" s="7" t="s">
        <v>48</v>
      </c>
      <c r="D17" s="7" t="s">
        <v>49</v>
      </c>
    </row>
    <row r="18" spans="2:4" ht="63.75">
      <c r="B18" s="39" t="s">
        <v>42</v>
      </c>
      <c r="C18" s="7" t="s">
        <v>14</v>
      </c>
      <c r="D18" s="7" t="s">
        <v>15</v>
      </c>
    </row>
    <row r="19" spans="2:4" ht="63.75">
      <c r="B19" s="39" t="s">
        <v>43</v>
      </c>
      <c r="C19" s="7" t="s">
        <v>48</v>
      </c>
      <c r="D19" s="7" t="s">
        <v>49</v>
      </c>
    </row>
    <row r="20" spans="2:4" ht="51">
      <c r="B20" s="39" t="s">
        <v>44</v>
      </c>
      <c r="C20" s="7" t="s">
        <v>14</v>
      </c>
      <c r="D20" s="7" t="s">
        <v>15</v>
      </c>
    </row>
    <row r="21" spans="2:4" ht="63.75">
      <c r="B21" s="39" t="s">
        <v>45</v>
      </c>
      <c r="C21" s="7" t="s">
        <v>48</v>
      </c>
      <c r="D21" s="7" t="s">
        <v>49</v>
      </c>
    </row>
    <row r="22" spans="2:4" ht="12.75">
      <c r="B22" s="38"/>
      <c r="C22" s="38"/>
      <c r="D22" s="38"/>
    </row>
    <row r="23" spans="2:4" ht="12.75">
      <c r="B23" s="38"/>
      <c r="C23" s="38"/>
      <c r="D23" s="38"/>
    </row>
    <row r="24" spans="2:4" ht="12.75">
      <c r="B24" s="38"/>
      <c r="C24" s="38"/>
      <c r="D24" s="38"/>
    </row>
    <row r="25" spans="2:4" ht="12.75">
      <c r="B25" s="38"/>
      <c r="C25" s="38"/>
      <c r="D25" s="38"/>
    </row>
    <row r="26" spans="2:4" ht="12.75">
      <c r="B26" s="38"/>
      <c r="C26" s="38"/>
      <c r="D26" s="38"/>
    </row>
    <row r="27" spans="2:4" ht="12.75">
      <c r="B27" s="38"/>
      <c r="C27" s="38"/>
      <c r="D27" s="38"/>
    </row>
    <row r="28" spans="2:4" ht="12.75">
      <c r="B28" s="38"/>
      <c r="C28" s="38"/>
      <c r="D28" s="38"/>
    </row>
    <row r="29" spans="2:4" ht="12.75">
      <c r="B29" s="38"/>
      <c r="C29" s="38"/>
      <c r="D29" s="38"/>
    </row>
    <row r="30" spans="2:4" ht="12.75">
      <c r="B30" s="38"/>
      <c r="C30" s="38"/>
      <c r="D30" s="38"/>
    </row>
    <row r="31" spans="2:4" ht="12.75">
      <c r="B31" s="38"/>
      <c r="C31" s="38"/>
      <c r="D31" s="38"/>
    </row>
    <row r="32" spans="2:4" ht="12.75">
      <c r="B32" s="38"/>
      <c r="C32" s="38"/>
      <c r="D32" s="38"/>
    </row>
    <row r="33" spans="2:4" ht="12.75">
      <c r="B33" s="38"/>
      <c r="C33" s="38"/>
      <c r="D33" s="38"/>
    </row>
    <row r="34" spans="2:4" ht="12.75">
      <c r="B34" s="38"/>
      <c r="C34" s="38"/>
      <c r="D34" s="38"/>
    </row>
    <row r="35" spans="2:4" ht="12.75">
      <c r="B35" s="38"/>
      <c r="C35" s="38"/>
      <c r="D35" s="38"/>
    </row>
    <row r="36" spans="2:4" ht="12.75">
      <c r="B36" s="38"/>
      <c r="C36" s="38"/>
      <c r="D36" s="38"/>
    </row>
    <row r="37" spans="2:4" ht="12.75">
      <c r="B37" s="38"/>
      <c r="C37" s="38"/>
      <c r="D37" s="38"/>
    </row>
  </sheetData>
  <sheetProtection/>
  <mergeCells count="1"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ИНС</dc:title>
  <dc:subject>НИС</dc:subject>
  <dc:creator/>
  <cp:keywords>ИНС, НИС, реестр</cp:keywords>
  <dc:description>Расчет накоплений на именном накопительном счете</dc:description>
  <cp:lastModifiedBy/>
  <dcterms:created xsi:type="dcterms:W3CDTF">2011-09-05T17:22:36Z</dcterms:created>
  <dcterms:modified xsi:type="dcterms:W3CDTF">2011-09-24T08:52:45Z</dcterms:modified>
  <cp:category>военнослужащие</cp:category>
  <cp:version/>
  <cp:contentType/>
  <cp:contentStatus/>
</cp:coreProperties>
</file>